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lue Chip- Plaque Psoriasis\"/>
    </mc:Choice>
  </mc:AlternateContent>
  <bookViews>
    <workbookView xWindow="15" yWindow="-75" windowWidth="14280" windowHeight="7755" tabRatio="925"/>
  </bookViews>
  <sheets>
    <sheet name="Cost Estimates" sheetId="15" r:id="rId1"/>
    <sheet name="Plaque Psoriasis" sheetId="3" r:id="rId2"/>
    <sheet name="GDN" sheetId="16" r:id="rId3"/>
    <sheet name="United States-Search-FB" sheetId="14" r:id="rId4"/>
    <sheet name="UK-Search-FB" sheetId="6" r:id="rId5"/>
    <sheet name="Germany-Search-FB" sheetId="4" r:id="rId6"/>
    <sheet name="France-Search-FB" sheetId="18" r:id="rId7"/>
    <sheet name="Belgium-Search-FB" sheetId="19" r:id="rId8"/>
    <sheet name="Italy-Search-FB" sheetId="20" r:id="rId9"/>
    <sheet name="Netherlands-Search-FB" sheetId="21" r:id="rId10"/>
    <sheet name="NewZealand-Search-FB" sheetId="22" r:id="rId11"/>
    <sheet name="Australia-Search-FB" sheetId="23" r:id="rId12"/>
    <sheet name="Research - Trends" sheetId="17" r:id="rId13"/>
  </sheets>
  <calcPr calcId="152511"/>
</workbook>
</file>

<file path=xl/calcChain.xml><?xml version="1.0" encoding="utf-8"?>
<calcChain xmlns="http://schemas.openxmlformats.org/spreadsheetml/2006/main">
  <c r="B7" i="15" l="1"/>
  <c r="E4" i="23"/>
  <c r="D4" i="23"/>
  <c r="E4" i="22"/>
  <c r="D4" i="22"/>
  <c r="E4" i="21"/>
  <c r="D4" i="21"/>
  <c r="E4" i="20"/>
  <c r="D4" i="20"/>
  <c r="E4" i="19"/>
  <c r="D4" i="19"/>
  <c r="E4" i="18"/>
  <c r="D4" i="18"/>
  <c r="D4" i="4"/>
  <c r="E4" i="4"/>
  <c r="E4" i="6"/>
  <c r="D4" i="6"/>
  <c r="E4" i="14"/>
  <c r="D4" i="14"/>
  <c r="J3" i="3" l="1"/>
  <c r="H7" i="3"/>
  <c r="F4" i="18" l="1"/>
  <c r="G12" i="3" l="1"/>
  <c r="G11" i="3"/>
  <c r="G10" i="3"/>
  <c r="G9" i="3"/>
  <c r="G8" i="3"/>
  <c r="G7" i="3"/>
  <c r="G6" i="3"/>
  <c r="G5" i="3"/>
  <c r="H5" i="3" s="1"/>
  <c r="G4" i="3"/>
  <c r="W4" i="18"/>
  <c r="W4" i="20"/>
  <c r="R4" i="21"/>
  <c r="W4" i="21"/>
  <c r="W4" i="23"/>
  <c r="R4" i="23"/>
  <c r="P4" i="22"/>
  <c r="R4" i="20"/>
  <c r="R4" i="19"/>
  <c r="R4" i="18"/>
  <c r="R4" i="4"/>
  <c r="R4" i="6"/>
  <c r="W4" i="19"/>
  <c r="W4" i="4"/>
  <c r="W4" i="6"/>
  <c r="D12" i="3"/>
  <c r="C12" i="3"/>
  <c r="D11" i="3"/>
  <c r="C11" i="3"/>
  <c r="D10" i="3"/>
  <c r="C10" i="3"/>
  <c r="D9" i="3"/>
  <c r="C9" i="3"/>
  <c r="D8" i="3"/>
  <c r="C8" i="3"/>
  <c r="C6" i="3"/>
  <c r="D7" i="3"/>
  <c r="C7" i="3"/>
  <c r="D6" i="3"/>
  <c r="D5" i="3"/>
  <c r="E5" i="3" s="1"/>
  <c r="C5" i="3"/>
  <c r="F4" i="23"/>
  <c r="S4" i="22"/>
  <c r="S5" i="22" s="1"/>
  <c r="F4" i="22"/>
  <c r="F4" i="21"/>
  <c r="F4" i="20"/>
  <c r="F4" i="19"/>
  <c r="F4" i="4"/>
  <c r="C4" i="3"/>
  <c r="F4" i="6"/>
  <c r="D5" i="14"/>
  <c r="E5" i="14"/>
  <c r="D4" i="3" s="1"/>
  <c r="AA4" i="14"/>
  <c r="AA5" i="14" s="1"/>
  <c r="V4" i="14"/>
  <c r="V5" i="14" s="1"/>
  <c r="F4" i="14"/>
  <c r="F3" i="3"/>
  <c r="C3" i="3" l="1"/>
  <c r="E4" i="3"/>
  <c r="G3" i="3"/>
  <c r="B15" i="15" s="1"/>
  <c r="E7" i="3"/>
  <c r="F5" i="14"/>
  <c r="H11" i="3"/>
  <c r="H10" i="3"/>
  <c r="F18" i="15"/>
  <c r="H17" i="15"/>
  <c r="H9" i="3"/>
  <c r="H6" i="3"/>
  <c r="H4" i="3"/>
  <c r="H3" i="3" s="1"/>
  <c r="I3" i="3" s="1"/>
  <c r="B13" i="15" l="1"/>
  <c r="B14" i="15" s="1"/>
  <c r="H12" i="3"/>
  <c r="H8" i="3"/>
  <c r="C15" i="15" s="1"/>
  <c r="G15" i="15" s="1"/>
  <c r="H15" i="15" s="1"/>
  <c r="B18" i="15" l="1"/>
  <c r="C14" i="15"/>
  <c r="G14" i="15" s="1"/>
  <c r="H14" i="15" s="1"/>
  <c r="E12" i="3" l="1"/>
  <c r="E10" i="3"/>
  <c r="E11" i="3"/>
  <c r="E8" i="3"/>
  <c r="E9" i="3"/>
  <c r="E6" i="3"/>
  <c r="D3" i="3"/>
  <c r="E3" i="3" l="1"/>
  <c r="C13" i="15"/>
  <c r="G13" i="15" l="1"/>
  <c r="C18" i="15"/>
  <c r="H13" i="15" l="1"/>
  <c r="G16" i="15"/>
  <c r="B8" i="15" s="1"/>
  <c r="B6" i="15"/>
  <c r="G18" i="15" l="1"/>
  <c r="H16" i="15"/>
  <c r="H18" i="15" s="1"/>
</calcChain>
</file>

<file path=xl/sharedStrings.xml><?xml version="1.0" encoding="utf-8"?>
<sst xmlns="http://schemas.openxmlformats.org/spreadsheetml/2006/main" count="158" uniqueCount="74">
  <si>
    <t>Country</t>
  </si>
  <si>
    <t>Global</t>
  </si>
  <si>
    <t>United States</t>
  </si>
  <si>
    <t>Germany</t>
  </si>
  <si>
    <t>Yes</t>
  </si>
  <si>
    <t>Digital Search Allowed (Google Adwords)</t>
  </si>
  <si>
    <t>Paid Search Impressions</t>
  </si>
  <si>
    <t>Paid Search Clicks</t>
  </si>
  <si>
    <t>CTR</t>
  </si>
  <si>
    <t>Avg CPC</t>
  </si>
  <si>
    <t>Facebook Impressions</t>
  </si>
  <si>
    <t>Facebook Clicks</t>
  </si>
  <si>
    <t>Facebook Avg CPC</t>
  </si>
  <si>
    <t>Facebook CTR</t>
  </si>
  <si>
    <t>Estimated Costs</t>
  </si>
  <si>
    <t>Search Audience</t>
  </si>
  <si>
    <t>Monthly Impressions US</t>
  </si>
  <si>
    <t>Total Estimated Monthly Media Costs</t>
  </si>
  <si>
    <t>Setup Fees (one time charge)</t>
  </si>
  <si>
    <t xml:space="preserve"> </t>
  </si>
  <si>
    <t>1st Month</t>
  </si>
  <si>
    <t>Set Up</t>
  </si>
  <si>
    <t>Monthly</t>
  </si>
  <si>
    <t xml:space="preserve">Cost w/ </t>
  </si>
  <si>
    <t>Network</t>
  </si>
  <si>
    <t>Impressions</t>
  </si>
  <si>
    <t>Clicks</t>
  </si>
  <si>
    <t>Costs</t>
  </si>
  <si>
    <t>Cost</t>
  </si>
  <si>
    <t>Set up</t>
  </si>
  <si>
    <t>Paid Search</t>
  </si>
  <si>
    <t>Mgt Fees (15%, $2,000 min.)</t>
  </si>
  <si>
    <t>Set up (one- time)</t>
  </si>
  <si>
    <t>Total Monthly Cost</t>
  </si>
  <si>
    <t>Google Display Network</t>
  </si>
  <si>
    <t>Managed Placements</t>
  </si>
  <si>
    <t>US - May 2013</t>
  </si>
  <si>
    <t>Migraines- US</t>
  </si>
  <si>
    <t>Plaque Psoriasis Patient Recruitment</t>
  </si>
  <si>
    <t>25% of United States, UK, Germany, France, Belgium, Italy, New Zealand, Australia</t>
  </si>
  <si>
    <t>Plaque Psoriasis</t>
  </si>
  <si>
    <t>France</t>
  </si>
  <si>
    <t>Belgium</t>
  </si>
  <si>
    <t>Italy</t>
  </si>
  <si>
    <t>Netherlands</t>
  </si>
  <si>
    <t>New Zealand</t>
  </si>
  <si>
    <t>Australia</t>
  </si>
  <si>
    <t>Target Estimate- 25% of US</t>
  </si>
  <si>
    <t>Monthly Total US</t>
  </si>
  <si>
    <t>General</t>
  </si>
  <si>
    <t>Interest Targeted</t>
  </si>
  <si>
    <t>Keywords</t>
  </si>
  <si>
    <t>Facebook</t>
  </si>
  <si>
    <t>Monthly Total UK</t>
  </si>
  <si>
    <t>Monthly Impressions UK</t>
  </si>
  <si>
    <t>Monthly Total Germany</t>
  </si>
  <si>
    <t>Monthly Total France</t>
  </si>
  <si>
    <t>Monthly Impressions Germany</t>
  </si>
  <si>
    <t>Monthly Impressions France</t>
  </si>
  <si>
    <t>Monthly Total Belgium</t>
  </si>
  <si>
    <t>Monthly Impressions Belgium</t>
  </si>
  <si>
    <t>Monthly Total Italy</t>
  </si>
  <si>
    <t>Monthly Impressions Italy</t>
  </si>
  <si>
    <t>Monthly Total Netherlands</t>
  </si>
  <si>
    <t>Monthly Impressions Netherlands</t>
  </si>
  <si>
    <t>Monthly Total New Zealand</t>
  </si>
  <si>
    <t>Monthly Impressions New Zealand</t>
  </si>
  <si>
    <t>Monthly Total Australia</t>
  </si>
  <si>
    <t>Monthly Impressions Australia</t>
  </si>
  <si>
    <t>United Kingdom</t>
  </si>
  <si>
    <t>Psoriasis</t>
  </si>
  <si>
    <t>Estimated Monthly Management Fees</t>
  </si>
  <si>
    <t xml:space="preserve"> -Google Display Network (display ads &amp; video)</t>
  </si>
  <si>
    <t>Facebook (General Target w/ Interest Overlays)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</si>
</sst>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164" formatCode="&quot;$&quot;#,##0.0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indexed="8"/>
      <name val="Tahoma"/>
      <family val="2"/>
    </font>
    <font>
      <sz val="8"/>
      <color theme="1"/>
      <name val="Tahoma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DE6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5" borderId="0" xfId="0" applyFont="1" applyFill="1"/>
    <xf numFmtId="0" fontId="4" fillId="0" borderId="0" xfId="0" applyFont="1"/>
    <xf numFmtId="165" fontId="3" fillId="0" borderId="1" xfId="0" applyNumberFormat="1" applyFont="1" applyBorder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8" fontId="0" fillId="5" borderId="0" xfId="0" applyNumberFormat="1" applyFill="1"/>
    <xf numFmtId="0" fontId="4" fillId="6" borderId="0" xfId="0" applyFont="1" applyFill="1"/>
    <xf numFmtId="0" fontId="0" fillId="6" borderId="0" xfId="0" applyFill="1" applyAlignment="1">
      <alignment horizontal="center"/>
    </xf>
    <xf numFmtId="0" fontId="0" fillId="6" borderId="0" xfId="0" applyFill="1"/>
    <xf numFmtId="0" fontId="4" fillId="6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3" fontId="0" fillId="5" borderId="0" xfId="0" applyNumberFormat="1" applyFill="1"/>
    <xf numFmtId="3" fontId="0" fillId="5" borderId="0" xfId="0" applyNumberFormat="1" applyFill="1" applyAlignment="1">
      <alignment horizontal="center"/>
    </xf>
    <xf numFmtId="10" fontId="0" fillId="5" borderId="0" xfId="0" applyNumberFormat="1" applyFill="1" applyAlignment="1">
      <alignment horizontal="center"/>
    </xf>
    <xf numFmtId="6" fontId="0" fillId="5" borderId="0" xfId="0" applyNumberFormat="1" applyFill="1"/>
    <xf numFmtId="8" fontId="0" fillId="0" borderId="0" xfId="0" applyNumberFormat="1"/>
    <xf numFmtId="0" fontId="4" fillId="5" borderId="2" xfId="0" applyFont="1" applyFill="1" applyBorder="1" applyAlignment="1">
      <alignment horizontal="left"/>
    </xf>
    <xf numFmtId="3" fontId="4" fillId="5" borderId="3" xfId="0" applyNumberFormat="1" applyFont="1" applyFill="1" applyBorder="1"/>
    <xf numFmtId="3" fontId="4" fillId="5" borderId="3" xfId="0" applyNumberFormat="1" applyFont="1" applyFill="1" applyBorder="1" applyAlignment="1">
      <alignment horizontal="center"/>
    </xf>
    <xf numFmtId="10" fontId="4" fillId="5" borderId="3" xfId="0" applyNumberFormat="1" applyFont="1" applyFill="1" applyBorder="1" applyAlignment="1">
      <alignment horizontal="center"/>
    </xf>
    <xf numFmtId="8" fontId="4" fillId="5" borderId="3" xfId="0" applyNumberFormat="1" applyFont="1" applyFill="1" applyBorder="1"/>
    <xf numFmtId="6" fontId="4" fillId="5" borderId="3" xfId="0" applyNumberFormat="1" applyFont="1" applyFill="1" applyBorder="1"/>
    <xf numFmtId="0" fontId="0" fillId="0" borderId="0" xfId="0" applyAlignment="1">
      <alignment horizontal="center"/>
    </xf>
    <xf numFmtId="3" fontId="0" fillId="0" borderId="0" xfId="0" applyNumberFormat="1"/>
    <xf numFmtId="0" fontId="2" fillId="5" borderId="1" xfId="0" applyFont="1" applyFill="1" applyBorder="1" applyAlignment="1">
      <alignment horizontal="left" wrapText="1"/>
    </xf>
    <xf numFmtId="3" fontId="0" fillId="5" borderId="0" xfId="0" applyNumberFormat="1" applyFont="1" applyFill="1"/>
    <xf numFmtId="165" fontId="0" fillId="5" borderId="0" xfId="0" applyNumberFormat="1" applyFill="1"/>
    <xf numFmtId="3" fontId="4" fillId="5" borderId="0" xfId="0" applyNumberFormat="1" applyFont="1" applyFill="1"/>
    <xf numFmtId="0" fontId="1" fillId="0" borderId="0" xfId="0" applyFont="1" applyAlignment="1">
      <alignment horizontal="center" vertical="center"/>
    </xf>
    <xf numFmtId="10" fontId="0" fillId="0" borderId="0" xfId="0" applyNumberFormat="1"/>
    <xf numFmtId="4" fontId="3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114300</xdr:rowOff>
    </xdr:from>
    <xdr:to>
      <xdr:col>12</xdr:col>
      <xdr:colOff>408632</xdr:colOff>
      <xdr:row>25</xdr:row>
      <xdr:rowOff>161371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495300"/>
          <a:ext cx="7542857" cy="4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17</xdr:col>
      <xdr:colOff>398705</xdr:colOff>
      <xdr:row>50</xdr:row>
      <xdr:rowOff>161405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10761905" cy="4161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17</xdr:col>
      <xdr:colOff>609295</xdr:colOff>
      <xdr:row>21</xdr:row>
      <xdr:rowOff>47238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952500"/>
          <a:ext cx="2438095" cy="309523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22</xdr:col>
      <xdr:colOff>609295</xdr:colOff>
      <xdr:row>24</xdr:row>
      <xdr:rowOff>190024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3425" y="952500"/>
          <a:ext cx="2438095" cy="3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13</xdr:col>
      <xdr:colOff>513293</xdr:colOff>
      <xdr:row>43</xdr:row>
      <xdr:rowOff>95124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5850"/>
          <a:ext cx="8780993" cy="7200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180975</xdr:rowOff>
    </xdr:from>
    <xdr:to>
      <xdr:col>16</xdr:col>
      <xdr:colOff>198782</xdr:colOff>
      <xdr:row>51</xdr:row>
      <xdr:rowOff>75713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95975"/>
          <a:ext cx="9952382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</xdr:row>
      <xdr:rowOff>66675</xdr:rowOff>
    </xdr:from>
    <xdr:to>
      <xdr:col>15</xdr:col>
      <xdr:colOff>389348</xdr:colOff>
      <xdr:row>66</xdr:row>
      <xdr:rowOff>94937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0163175"/>
          <a:ext cx="9419048" cy="2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57150</xdr:rowOff>
    </xdr:from>
    <xdr:to>
      <xdr:col>17</xdr:col>
      <xdr:colOff>103467</xdr:colOff>
      <xdr:row>29</xdr:row>
      <xdr:rowOff>66031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150"/>
          <a:ext cx="10466667" cy="51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522776</xdr:colOff>
      <xdr:row>28</xdr:row>
      <xdr:rowOff>94714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8790476" cy="4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57150</xdr:rowOff>
    </xdr:from>
    <xdr:to>
      <xdr:col>14</xdr:col>
      <xdr:colOff>513252</xdr:colOff>
      <xdr:row>47</xdr:row>
      <xdr:rowOff>75745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200650"/>
          <a:ext cx="8780952" cy="3638095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590550</xdr:colOff>
      <xdr:row>6</xdr:row>
      <xdr:rowOff>0</xdr:rowOff>
    </xdr:from>
    <xdr:to>
      <xdr:col>21</xdr:col>
      <xdr:colOff>561674</xdr:colOff>
      <xdr:row>21</xdr:row>
      <xdr:rowOff>132976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6650" y="952500"/>
          <a:ext cx="2409524" cy="299047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</xdr:row>
      <xdr:rowOff>0</xdr:rowOff>
    </xdr:from>
    <xdr:to>
      <xdr:col>26</xdr:col>
      <xdr:colOff>590248</xdr:colOff>
      <xdr:row>24</xdr:row>
      <xdr:rowOff>190048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63700" y="952500"/>
          <a:ext cx="2419048" cy="3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6</xdr:row>
      <xdr:rowOff>152400</xdr:rowOff>
    </xdr:from>
    <xdr:to>
      <xdr:col>13</xdr:col>
      <xdr:colOff>113312</xdr:colOff>
      <xdr:row>23</xdr:row>
      <xdr:rowOff>37709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295400"/>
          <a:ext cx="7904762" cy="312380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22</xdr:col>
      <xdr:colOff>609295</xdr:colOff>
      <xdr:row>24</xdr:row>
      <xdr:rowOff>9071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0525" y="952500"/>
          <a:ext cx="2438095" cy="3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23</xdr:row>
      <xdr:rowOff>0</xdr:rowOff>
    </xdr:from>
    <xdr:to>
      <xdr:col>13</xdr:col>
      <xdr:colOff>122844</xdr:colOff>
      <xdr:row>40</xdr:row>
      <xdr:rowOff>113881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4381500"/>
          <a:ext cx="7847619" cy="33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5</xdr:row>
      <xdr:rowOff>0</xdr:rowOff>
    </xdr:from>
    <xdr:to>
      <xdr:col>17</xdr:col>
      <xdr:colOff>714065</xdr:colOff>
      <xdr:row>20</xdr:row>
      <xdr:rowOff>190119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01075" y="952500"/>
          <a:ext cx="2476190" cy="30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9525</xdr:colOff>
      <xdr:row>4</xdr:row>
      <xdr:rowOff>142875</xdr:rowOff>
    </xdr:from>
    <xdr:to>
      <xdr:col>22</xdr:col>
      <xdr:colOff>609296</xdr:colOff>
      <xdr:row>23</xdr:row>
      <xdr:rowOff>180518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1350" y="904875"/>
          <a:ext cx="2428571" cy="36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17</xdr:col>
      <xdr:colOff>618819</xdr:colOff>
      <xdr:row>21</xdr:row>
      <xdr:rowOff>9143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5700" y="952500"/>
          <a:ext cx="2447619" cy="3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13</xdr:col>
      <xdr:colOff>96737</xdr:colOff>
      <xdr:row>41</xdr:row>
      <xdr:rowOff>85946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"/>
          <a:ext cx="8364437" cy="69439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17</xdr:col>
      <xdr:colOff>647390</xdr:colOff>
      <xdr:row>20</xdr:row>
      <xdr:rowOff>123452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952500"/>
          <a:ext cx="2476190" cy="298095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23</xdr:col>
      <xdr:colOff>9219</xdr:colOff>
      <xdr:row>24</xdr:row>
      <xdr:rowOff>170976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3425" y="952500"/>
          <a:ext cx="2447619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0</xdr:rowOff>
    </xdr:from>
    <xdr:to>
      <xdr:col>13</xdr:col>
      <xdr:colOff>94131</xdr:colOff>
      <xdr:row>38</xdr:row>
      <xdr:rowOff>173208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00"/>
          <a:ext cx="8352306" cy="64597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17</xdr:col>
      <xdr:colOff>637867</xdr:colOff>
      <xdr:row>21</xdr:row>
      <xdr:rowOff>113929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1143000"/>
          <a:ext cx="2466667" cy="297142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23</xdr:col>
      <xdr:colOff>18743</xdr:colOff>
      <xdr:row>25</xdr:row>
      <xdr:rowOff>113833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3425" y="1143000"/>
          <a:ext cx="2457143" cy="3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14</xdr:col>
      <xdr:colOff>56033</xdr:colOff>
      <xdr:row>41</xdr:row>
      <xdr:rowOff>94381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"/>
          <a:ext cx="8933333" cy="69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17</xdr:col>
      <xdr:colOff>609295</xdr:colOff>
      <xdr:row>20</xdr:row>
      <xdr:rowOff>180595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15700" y="952500"/>
          <a:ext cx="2438095" cy="303809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23</xdr:col>
      <xdr:colOff>5598</xdr:colOff>
      <xdr:row>24</xdr:row>
      <xdr:rowOff>170976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3425" y="952500"/>
          <a:ext cx="2438095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14</xdr:col>
      <xdr:colOff>36986</xdr:colOff>
      <xdr:row>41</xdr:row>
      <xdr:rowOff>113428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"/>
          <a:ext cx="8914286" cy="69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14</xdr:col>
      <xdr:colOff>17938</xdr:colOff>
      <xdr:row>7</xdr:row>
      <xdr:rowOff>47571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2500"/>
          <a:ext cx="8895238" cy="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0</xdr:rowOff>
    </xdr:from>
    <xdr:to>
      <xdr:col>14</xdr:col>
      <xdr:colOff>46110</xdr:colOff>
      <xdr:row>43</xdr:row>
      <xdr:rowOff>45757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7810500"/>
          <a:ext cx="8894835" cy="4267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561975</xdr:colOff>
      <xdr:row>5</xdr:row>
      <xdr:rowOff>19050</xdr:rowOff>
    </xdr:from>
    <xdr:to>
      <xdr:col>17</xdr:col>
      <xdr:colOff>580718</xdr:colOff>
      <xdr:row>20</xdr:row>
      <xdr:rowOff>152026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5" y="971550"/>
          <a:ext cx="2457143" cy="2990476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4</xdr:row>
      <xdr:rowOff>161925</xdr:rowOff>
    </xdr:from>
    <xdr:to>
      <xdr:col>23</xdr:col>
      <xdr:colOff>28268</xdr:colOff>
      <xdr:row>24</xdr:row>
      <xdr:rowOff>190020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72950" y="923925"/>
          <a:ext cx="2457143" cy="3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13</xdr:col>
      <xdr:colOff>88365</xdr:colOff>
      <xdr:row>39</xdr:row>
      <xdr:rowOff>18186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"/>
          <a:ext cx="8356065" cy="6495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13</xdr:col>
      <xdr:colOff>66675</xdr:colOff>
      <xdr:row>41</xdr:row>
      <xdr:rowOff>20979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29500"/>
          <a:ext cx="8334375" cy="401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5</xdr:row>
      <xdr:rowOff>161925</xdr:rowOff>
    </xdr:from>
    <xdr:to>
      <xdr:col>15</xdr:col>
      <xdr:colOff>390217</xdr:colOff>
      <xdr:row>22</xdr:row>
      <xdr:rowOff>9139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01425" y="1114425"/>
          <a:ext cx="2466667" cy="308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18</xdr:col>
      <xdr:colOff>275920</xdr:colOff>
      <xdr:row>25</xdr:row>
      <xdr:rowOff>170976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6800" y="1143000"/>
          <a:ext cx="2438095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14</xdr:col>
      <xdr:colOff>48018</xdr:colOff>
      <xdr:row>44</xdr:row>
      <xdr:rowOff>40255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43000"/>
          <a:ext cx="8925318" cy="72792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workbookViewId="0">
      <selection activeCell="E15" sqref="E15"/>
    </sheetView>
  </sheetViews>
  <sheetFormatPr defaultRowHeight="15" x14ac:dyDescent="0.25"/>
  <cols>
    <col min="1" max="1" width="45.5703125" bestFit="1" customWidth="1"/>
    <col min="2" max="2" width="12.7109375" customWidth="1"/>
    <col min="3" max="3" width="14.85546875" style="33" bestFit="1" customWidth="1"/>
    <col min="4" max="4" width="9.140625" style="33"/>
    <col min="6" max="6" width="9.85546875" bestFit="1" customWidth="1"/>
    <col min="7" max="7" width="11.85546875" bestFit="1" customWidth="1"/>
    <col min="8" max="8" width="9.85546875" bestFit="1" customWidth="1"/>
    <col min="9" max="9" width="52.7109375" customWidth="1"/>
    <col min="10" max="11" width="9.85546875" bestFit="1" customWidth="1"/>
  </cols>
  <sheetData>
    <row r="1" spans="1:11" x14ac:dyDescent="0.25">
      <c r="A1" s="9" t="s">
        <v>38</v>
      </c>
      <c r="B1" s="12"/>
      <c r="C1" s="13"/>
      <c r="D1" s="13"/>
      <c r="E1" s="12"/>
      <c r="F1" s="12"/>
      <c r="G1" s="12"/>
      <c r="H1" s="12"/>
      <c r="I1" s="12"/>
    </row>
    <row r="2" spans="1:11" x14ac:dyDescent="0.25">
      <c r="A2" s="9" t="s">
        <v>14</v>
      </c>
      <c r="B2" s="12"/>
      <c r="C2" s="13"/>
      <c r="D2" s="14"/>
      <c r="E2" s="12"/>
      <c r="F2" s="12"/>
      <c r="G2" s="12"/>
      <c r="H2" s="12"/>
      <c r="I2" s="12"/>
    </row>
    <row r="3" spans="1:11" x14ac:dyDescent="0.25">
      <c r="A3" s="9" t="s">
        <v>39</v>
      </c>
      <c r="B3" s="12"/>
      <c r="C3" s="13"/>
      <c r="D3" s="14"/>
      <c r="E3" s="12"/>
      <c r="F3" s="12"/>
      <c r="G3" s="12"/>
      <c r="H3" s="12"/>
      <c r="I3" s="12"/>
    </row>
    <row r="4" spans="1:11" x14ac:dyDescent="0.25">
      <c r="A4" s="9"/>
      <c r="B4" s="12"/>
      <c r="C4" s="13"/>
      <c r="D4" s="14"/>
      <c r="E4" s="12"/>
      <c r="F4" s="12"/>
      <c r="G4" s="12"/>
      <c r="H4" s="12"/>
      <c r="I4" s="12"/>
    </row>
    <row r="5" spans="1:11" x14ac:dyDescent="0.25">
      <c r="A5" s="9"/>
      <c r="B5" s="12"/>
      <c r="C5" s="13"/>
      <c r="D5" s="14"/>
      <c r="E5" s="12"/>
      <c r="F5" s="12"/>
      <c r="G5" s="12"/>
      <c r="H5" s="12"/>
      <c r="I5" s="12"/>
    </row>
    <row r="6" spans="1:11" x14ac:dyDescent="0.25">
      <c r="A6" s="9" t="s">
        <v>17</v>
      </c>
      <c r="B6" s="15">
        <f>SUM(G13:G15)</f>
        <v>746610.90122250002</v>
      </c>
      <c r="C6" s="13"/>
      <c r="D6" s="14"/>
      <c r="E6" s="12"/>
      <c r="F6" s="12"/>
      <c r="G6" s="12"/>
      <c r="H6" s="12"/>
      <c r="I6" s="12"/>
    </row>
    <row r="7" spans="1:11" x14ac:dyDescent="0.25">
      <c r="A7" s="9" t="s">
        <v>18</v>
      </c>
      <c r="B7" s="15">
        <f>F17</f>
        <v>4000</v>
      </c>
      <c r="C7" s="13"/>
      <c r="D7" s="14"/>
      <c r="E7" s="12"/>
      <c r="F7" s="12"/>
      <c r="G7" s="12"/>
      <c r="H7" s="12"/>
      <c r="I7" s="12"/>
      <c r="K7" s="7"/>
    </row>
    <row r="8" spans="1:11" x14ac:dyDescent="0.25">
      <c r="A8" s="9" t="s">
        <v>71</v>
      </c>
      <c r="B8" s="15">
        <f>G16</f>
        <v>99394.121249999997</v>
      </c>
      <c r="C8" s="13"/>
      <c r="D8" s="14"/>
      <c r="E8" s="12"/>
      <c r="F8" s="12"/>
      <c r="G8" s="12"/>
      <c r="H8" s="12"/>
      <c r="I8" s="12"/>
    </row>
    <row r="9" spans="1:11" x14ac:dyDescent="0.25">
      <c r="A9" s="9"/>
      <c r="B9" s="15"/>
      <c r="C9" s="13"/>
      <c r="D9" s="14"/>
      <c r="E9" s="12"/>
      <c r="F9" s="12"/>
      <c r="G9" s="12"/>
      <c r="H9" s="12"/>
      <c r="I9" s="12"/>
    </row>
    <row r="10" spans="1:11" x14ac:dyDescent="0.25">
      <c r="A10" s="16" t="s">
        <v>19</v>
      </c>
      <c r="B10" s="16" t="s">
        <v>19</v>
      </c>
      <c r="C10" s="17"/>
      <c r="D10" s="17"/>
      <c r="E10" s="18"/>
      <c r="F10" s="18"/>
      <c r="G10" s="18"/>
      <c r="H10" s="16" t="s">
        <v>20</v>
      </c>
      <c r="I10" s="12"/>
    </row>
    <row r="11" spans="1:11" x14ac:dyDescent="0.25">
      <c r="A11" s="18"/>
      <c r="B11" s="18"/>
      <c r="C11" s="17"/>
      <c r="D11" s="17"/>
      <c r="E11" s="18"/>
      <c r="F11" s="19" t="s">
        <v>21</v>
      </c>
      <c r="G11" s="19" t="s">
        <v>22</v>
      </c>
      <c r="H11" s="19" t="s">
        <v>23</v>
      </c>
      <c r="I11" s="12"/>
    </row>
    <row r="12" spans="1:11" s="21" customFormat="1" x14ac:dyDescent="0.25">
      <c r="A12" s="19" t="s">
        <v>24</v>
      </c>
      <c r="B12" s="19" t="s">
        <v>25</v>
      </c>
      <c r="C12" s="19" t="s">
        <v>26</v>
      </c>
      <c r="D12" s="19" t="s">
        <v>8</v>
      </c>
      <c r="E12" s="19" t="s">
        <v>9</v>
      </c>
      <c r="F12" s="19" t="s">
        <v>27</v>
      </c>
      <c r="G12" s="19" t="s">
        <v>28</v>
      </c>
      <c r="H12" s="19" t="s">
        <v>29</v>
      </c>
      <c r="I12" s="20"/>
    </row>
    <row r="13" spans="1:11" x14ac:dyDescent="0.25">
      <c r="A13" s="12" t="s">
        <v>30</v>
      </c>
      <c r="B13" s="22">
        <f>'Plaque Psoriasis'!C3</f>
        <v>2598577.5</v>
      </c>
      <c r="C13" s="23">
        <f>'Plaque Psoriasis'!D3</f>
        <v>151462.5</v>
      </c>
      <c r="D13" s="24">
        <v>1.7999999999999999E-2</v>
      </c>
      <c r="E13" s="15">
        <v>2.75</v>
      </c>
      <c r="F13" s="25"/>
      <c r="G13" s="25">
        <f>C13*E13</f>
        <v>416521.875</v>
      </c>
      <c r="H13" s="25">
        <f>G13</f>
        <v>416521.875</v>
      </c>
      <c r="I13" s="12"/>
      <c r="J13" s="26"/>
      <c r="K13" s="26"/>
    </row>
    <row r="14" spans="1:11" x14ac:dyDescent="0.25">
      <c r="A14" s="12" t="s">
        <v>72</v>
      </c>
      <c r="B14" s="22">
        <f>B13*9</f>
        <v>23387197.5</v>
      </c>
      <c r="C14" s="23">
        <f>B14*D14</f>
        <v>44435.67525</v>
      </c>
      <c r="D14" s="24">
        <v>1.9E-3</v>
      </c>
      <c r="E14" s="15">
        <v>1.89</v>
      </c>
      <c r="F14" s="25"/>
      <c r="G14" s="25">
        <f>E14*C14</f>
        <v>83983.426222499998</v>
      </c>
      <c r="H14" s="25">
        <f>G14</f>
        <v>83983.426222499998</v>
      </c>
      <c r="I14" s="12"/>
      <c r="J14" s="26"/>
      <c r="K14" s="26"/>
    </row>
    <row r="15" spans="1:11" x14ac:dyDescent="0.25">
      <c r="A15" s="12" t="s">
        <v>73</v>
      </c>
      <c r="B15" s="22">
        <f>'Plaque Psoriasis'!G3</f>
        <v>1402400000</v>
      </c>
      <c r="C15" s="23">
        <f>'Plaque Psoriasis'!H3</f>
        <v>315520</v>
      </c>
      <c r="D15" s="24">
        <v>2.5000000000000001E-4</v>
      </c>
      <c r="E15" s="15">
        <v>0.78</v>
      </c>
      <c r="F15" s="25"/>
      <c r="G15" s="25">
        <f>C15*E15</f>
        <v>246105.60000000001</v>
      </c>
      <c r="H15" s="25">
        <f>G15</f>
        <v>246105.60000000001</v>
      </c>
      <c r="I15" s="12"/>
      <c r="J15" s="26"/>
      <c r="K15" s="26"/>
    </row>
    <row r="16" spans="1:11" x14ac:dyDescent="0.25">
      <c r="A16" s="12" t="s">
        <v>31</v>
      </c>
      <c r="B16" s="22"/>
      <c r="C16" s="23"/>
      <c r="D16" s="24"/>
      <c r="E16" s="15"/>
      <c r="F16" s="25"/>
      <c r="G16" s="25">
        <f>(G15+G13)*0.15</f>
        <v>99394.121249999997</v>
      </c>
      <c r="H16" s="25">
        <f>G16</f>
        <v>99394.121249999997</v>
      </c>
      <c r="I16" s="12"/>
    </row>
    <row r="17" spans="1:9" ht="15.75" thickBot="1" x14ac:dyDescent="0.3">
      <c r="A17" s="12" t="s">
        <v>32</v>
      </c>
      <c r="B17" s="22"/>
      <c r="C17" s="23"/>
      <c r="D17" s="24"/>
      <c r="E17" s="15"/>
      <c r="F17" s="25">
        <v>4000</v>
      </c>
      <c r="G17" s="25" t="s">
        <v>19</v>
      </c>
      <c r="H17" s="25">
        <f>F17</f>
        <v>4000</v>
      </c>
      <c r="I17" s="12"/>
    </row>
    <row r="18" spans="1:9" s="10" customFormat="1" ht="15.75" thickBot="1" x14ac:dyDescent="0.3">
      <c r="A18" s="27" t="s">
        <v>33</v>
      </c>
      <c r="B18" s="28">
        <f>SUM(B13:B17)</f>
        <v>1428385775</v>
      </c>
      <c r="C18" s="29">
        <f>SUM(C13:C17)</f>
        <v>511418.17524999997</v>
      </c>
      <c r="D18" s="30"/>
      <c r="E18" s="31"/>
      <c r="F18" s="31">
        <f>SUM(F17)</f>
        <v>4000</v>
      </c>
      <c r="G18" s="32">
        <f>SUM(G13:G17)</f>
        <v>846005.02247249999</v>
      </c>
      <c r="H18" s="32">
        <f>SUM(H13:H17)</f>
        <v>850005.02247249999</v>
      </c>
      <c r="I18" s="9"/>
    </row>
    <row r="19" spans="1:9" x14ac:dyDescent="0.25">
      <c r="A19" s="12"/>
      <c r="B19" s="12"/>
      <c r="C19" s="13"/>
      <c r="D19" s="13"/>
      <c r="E19" s="12"/>
      <c r="F19" s="12"/>
      <c r="G19" s="12"/>
      <c r="H19" s="12"/>
      <c r="I19" s="12"/>
    </row>
    <row r="20" spans="1:9" x14ac:dyDescent="0.25">
      <c r="A20" s="12"/>
      <c r="B20" s="12"/>
      <c r="C20" s="13"/>
      <c r="D20" s="13"/>
      <c r="E20" s="12"/>
      <c r="F20" s="12"/>
      <c r="G20" s="12"/>
      <c r="H20" s="12"/>
      <c r="I20" s="12"/>
    </row>
    <row r="21" spans="1:9" x14ac:dyDescent="0.25">
      <c r="A21" s="12"/>
      <c r="B21" s="12"/>
      <c r="C21" s="13"/>
      <c r="D21" s="13"/>
      <c r="E21" s="12"/>
      <c r="F21" s="12"/>
      <c r="G21" s="15"/>
      <c r="H21" s="12"/>
      <c r="I21" s="1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selection activeCell="H4" sqref="H4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63</v>
      </c>
      <c r="B4" s="12"/>
      <c r="C4" s="12"/>
      <c r="D4" s="36">
        <f>(9286-5359)*30</f>
        <v>117810</v>
      </c>
      <c r="E4" s="36">
        <f>(303-185)*30</f>
        <v>3540</v>
      </c>
      <c r="F4" s="37">
        <f>E4/D4</f>
        <v>3.0048382989559461E-2</v>
      </c>
      <c r="G4" s="12"/>
      <c r="H4" s="12"/>
      <c r="I4" s="12"/>
      <c r="J4" s="12"/>
      <c r="K4" s="12"/>
      <c r="L4" s="12"/>
      <c r="M4" s="12"/>
      <c r="N4" s="12"/>
      <c r="O4" s="9" t="s">
        <v>64</v>
      </c>
      <c r="P4" s="12"/>
      <c r="Q4" s="12"/>
      <c r="R4" s="38">
        <f>8000000*8</f>
        <v>64000000</v>
      </c>
      <c r="S4" s="12"/>
      <c r="T4" s="9" t="s">
        <v>64</v>
      </c>
      <c r="U4" s="12"/>
      <c r="V4" s="12"/>
      <c r="W4" s="38">
        <f>28000*8</f>
        <v>224000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topLeftCell="A4" workbookViewId="0">
      <selection activeCell="E5" sqref="E5"/>
    </sheetView>
  </sheetViews>
  <sheetFormatPr defaultRowHeight="15" x14ac:dyDescent="0.25"/>
  <cols>
    <col min="4" max="4" width="14.28515625" customWidth="1"/>
    <col min="15" max="15" width="32.42578125" bestFit="1" customWidth="1"/>
    <col min="16" max="16" width="12.7109375" bestFit="1" customWidth="1"/>
    <col min="18" max="18" width="32.42578125" bestFit="1" customWidth="1"/>
  </cols>
  <sheetData>
    <row r="1" spans="1:20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</row>
    <row r="2" spans="1:20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</row>
    <row r="3" spans="1:20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 t="s">
        <v>50</v>
      </c>
      <c r="S3" s="12"/>
      <c r="T3" s="12"/>
    </row>
    <row r="4" spans="1:20" x14ac:dyDescent="0.25">
      <c r="A4" s="9" t="s">
        <v>65</v>
      </c>
      <c r="B4" s="12"/>
      <c r="C4" s="12"/>
      <c r="D4" s="36">
        <f>(2286-1156)*30</f>
        <v>33900</v>
      </c>
      <c r="E4" s="36">
        <f>(47-23)*30</f>
        <v>720</v>
      </c>
      <c r="F4" s="37">
        <f>E4/D4</f>
        <v>2.1238938053097345E-2</v>
      </c>
      <c r="G4" s="12"/>
      <c r="H4" s="12"/>
      <c r="I4" s="12"/>
      <c r="J4" s="12"/>
      <c r="K4" s="12"/>
      <c r="L4" s="12"/>
      <c r="M4" s="12"/>
      <c r="N4" s="12"/>
      <c r="O4" s="9" t="s">
        <v>66</v>
      </c>
      <c r="P4" s="38">
        <f>2200000*8</f>
        <v>17600000</v>
      </c>
      <c r="Q4" s="12"/>
      <c r="R4" s="9" t="s">
        <v>66</v>
      </c>
      <c r="S4" s="38">
        <f>620000*8</f>
        <v>4960000</v>
      </c>
      <c r="T4" s="12"/>
    </row>
    <row r="5" spans="1:20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38"/>
      <c r="Q5" s="12"/>
      <c r="R5" s="9"/>
      <c r="S5" s="38">
        <f>S4*0.25</f>
        <v>1240000</v>
      </c>
      <c r="T5" s="12"/>
    </row>
    <row r="6" spans="1:20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spans="1:20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</row>
    <row r="8" spans="1:20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</row>
    <row r="9" spans="1:20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</row>
    <row r="11" spans="1:20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pans="1:20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</row>
    <row r="13" spans="1:20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0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</row>
    <row r="16" spans="1:20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</row>
    <row r="17" spans="1:20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</row>
    <row r="19" spans="1:20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</row>
    <row r="20" spans="1:20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</row>
    <row r="21" spans="1:20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</row>
    <row r="22" spans="1:20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</row>
    <row r="23" spans="1:20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  <row r="24" spans="1:20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20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</row>
    <row r="26" spans="1:20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</row>
    <row r="27" spans="1:20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</row>
    <row r="28" spans="1:20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</row>
    <row r="29" spans="1:20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</row>
    <row r="30" spans="1:20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</row>
    <row r="31" spans="1:20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20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</row>
    <row r="34" spans="1:20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</row>
    <row r="35" spans="1:20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</row>
    <row r="36" spans="1:20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</row>
    <row r="37" spans="1:20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</row>
    <row r="38" spans="1:20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</row>
    <row r="39" spans="1:20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</row>
    <row r="40" spans="1:20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</row>
    <row r="41" spans="1:20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</row>
    <row r="42" spans="1:20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</row>
    <row r="43" spans="1:20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</row>
    <row r="44" spans="1:20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</row>
    <row r="45" spans="1:20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</row>
    <row r="46" spans="1:20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</row>
    <row r="47" spans="1:20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</row>
    <row r="48" spans="1:20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</row>
    <row r="49" spans="1:20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</row>
    <row r="50" spans="1:20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</row>
    <row r="51" spans="1:20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</row>
    <row r="52" spans="1:20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</row>
    <row r="53" spans="1:20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</row>
    <row r="54" spans="1:20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</row>
    <row r="55" spans="1:20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</row>
    <row r="56" spans="1:20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</row>
    <row r="57" spans="1:20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</row>
    <row r="58" spans="1:20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</row>
    <row r="59" spans="1:20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</row>
    <row r="60" spans="1:20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</row>
    <row r="61" spans="1:20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</row>
    <row r="62" spans="1:20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</row>
    <row r="63" spans="1:20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</row>
    <row r="64" spans="1:20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</row>
    <row r="65" spans="1:20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</row>
    <row r="66" spans="1:20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</row>
    <row r="67" spans="1:20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</row>
    <row r="68" spans="1:20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1:20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</row>
    <row r="70" spans="1:20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</row>
    <row r="71" spans="1:20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</row>
    <row r="72" spans="1:20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</row>
    <row r="73" spans="1:20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1:20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</row>
    <row r="75" spans="1:20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</row>
    <row r="76" spans="1:20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</row>
    <row r="77" spans="1:20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1:20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</row>
    <row r="79" spans="1:20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</row>
    <row r="80" spans="1:20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</row>
    <row r="81" spans="1:20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</row>
    <row r="82" spans="1:20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</row>
    <row r="83" spans="1:20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</row>
    <row r="84" spans="1:20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</row>
    <row r="85" spans="1:20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</row>
    <row r="86" spans="1:20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</row>
    <row r="87" spans="1:20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</row>
    <row r="88" spans="1:20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</row>
    <row r="89" spans="1:20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1:20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</row>
    <row r="91" spans="1:20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</row>
    <row r="92" spans="1:20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</row>
    <row r="93" spans="1:20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selection activeCell="E5" sqref="E5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67</v>
      </c>
      <c r="B4" s="12"/>
      <c r="C4" s="12"/>
      <c r="D4" s="36">
        <f>(6474-1793)*30</f>
        <v>140430</v>
      </c>
      <c r="E4" s="36">
        <f>(231-65)*30</f>
        <v>4980</v>
      </c>
      <c r="F4" s="37">
        <f>E4/D4</f>
        <v>3.5462508011108736E-2</v>
      </c>
      <c r="G4" s="12"/>
      <c r="H4" s="12"/>
      <c r="I4" s="12"/>
      <c r="J4" s="12"/>
      <c r="K4" s="12"/>
      <c r="L4" s="12"/>
      <c r="M4" s="12"/>
      <c r="N4" s="12"/>
      <c r="O4" s="9" t="s">
        <v>68</v>
      </c>
      <c r="P4" s="12"/>
      <c r="Q4" s="12"/>
      <c r="R4" s="38">
        <f>11800000*8</f>
        <v>94400000</v>
      </c>
      <c r="S4" s="12"/>
      <c r="T4" s="9" t="s">
        <v>68</v>
      </c>
      <c r="U4" s="12"/>
      <c r="V4" s="12"/>
      <c r="W4" s="38">
        <f>34000*8</f>
        <v>272000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0"/>
  <sheetViews>
    <sheetView workbookViewId="0">
      <selection activeCell="A2" sqref="A2"/>
    </sheetView>
  </sheetViews>
  <sheetFormatPr defaultRowHeight="15" x14ac:dyDescent="0.25"/>
  <sheetData>
    <row r="1" spans="1:1" s="12" customFormat="1" x14ac:dyDescent="0.25">
      <c r="A1" s="9" t="s">
        <v>70</v>
      </c>
    </row>
    <row r="2" spans="1:1" s="12" customFormat="1" x14ac:dyDescent="0.25">
      <c r="A2" s="12" t="s">
        <v>36</v>
      </c>
    </row>
    <row r="3" spans="1:1" s="12" customFormat="1" x14ac:dyDescent="0.25"/>
    <row r="4" spans="1:1" s="12" customFormat="1" x14ac:dyDescent="0.25"/>
    <row r="5" spans="1:1" s="12" customFormat="1" x14ac:dyDescent="0.25"/>
    <row r="6" spans="1:1" s="12" customFormat="1" x14ac:dyDescent="0.25"/>
    <row r="7" spans="1:1" s="12" customFormat="1" x14ac:dyDescent="0.25"/>
    <row r="8" spans="1:1" s="12" customFormat="1" x14ac:dyDescent="0.25"/>
    <row r="9" spans="1:1" s="12" customFormat="1" x14ac:dyDescent="0.25"/>
    <row r="10" spans="1:1" s="12" customFormat="1" x14ac:dyDescent="0.25"/>
    <row r="11" spans="1:1" s="12" customFormat="1" x14ac:dyDescent="0.25"/>
    <row r="12" spans="1:1" s="12" customFormat="1" x14ac:dyDescent="0.25"/>
    <row r="13" spans="1:1" s="12" customFormat="1" x14ac:dyDescent="0.25"/>
    <row r="14" spans="1:1" s="12" customFormat="1" x14ac:dyDescent="0.25"/>
    <row r="15" spans="1:1" s="12" customFormat="1" x14ac:dyDescent="0.25"/>
    <row r="16" spans="1:1" s="12" customFormat="1" x14ac:dyDescent="0.25"/>
    <row r="17" spans="1:1" s="12" customFormat="1" x14ac:dyDescent="0.25"/>
    <row r="18" spans="1:1" s="12" customFormat="1" x14ac:dyDescent="0.25"/>
    <row r="19" spans="1:1" s="12" customFormat="1" x14ac:dyDescent="0.25"/>
    <row r="20" spans="1:1" s="12" customFormat="1" x14ac:dyDescent="0.25"/>
    <row r="21" spans="1:1" s="12" customFormat="1" x14ac:dyDescent="0.25"/>
    <row r="22" spans="1:1" s="12" customFormat="1" x14ac:dyDescent="0.25"/>
    <row r="23" spans="1:1" s="12" customFormat="1" x14ac:dyDescent="0.25"/>
    <row r="24" spans="1:1" s="12" customFormat="1" x14ac:dyDescent="0.25"/>
    <row r="25" spans="1:1" s="12" customFormat="1" x14ac:dyDescent="0.25"/>
    <row r="26" spans="1:1" s="12" customFormat="1" x14ac:dyDescent="0.25"/>
    <row r="27" spans="1:1" s="12" customFormat="1" x14ac:dyDescent="0.25"/>
    <row r="28" spans="1:1" s="12" customFormat="1" x14ac:dyDescent="0.25"/>
    <row r="29" spans="1:1" s="12" customFormat="1" x14ac:dyDescent="0.25"/>
    <row r="30" spans="1:1" s="12" customFormat="1" x14ac:dyDescent="0.25"/>
    <row r="31" spans="1:1" s="12" customFormat="1" x14ac:dyDescent="0.25">
      <c r="A31" s="9" t="s">
        <v>37</v>
      </c>
    </row>
    <row r="32" spans="1:1" s="12" customFormat="1" x14ac:dyDescent="0.25"/>
    <row r="33" s="12" customFormat="1" x14ac:dyDescent="0.25"/>
    <row r="34" s="12" customFormat="1" x14ac:dyDescent="0.25"/>
    <row r="35" s="12" customFormat="1" x14ac:dyDescent="0.25"/>
    <row r="36" s="12" customFormat="1" x14ac:dyDescent="0.25"/>
    <row r="37" s="12" customFormat="1" x14ac:dyDescent="0.25"/>
    <row r="38" s="12" customFormat="1" x14ac:dyDescent="0.25"/>
    <row r="39" s="12" customFormat="1" x14ac:dyDescent="0.25"/>
    <row r="40" s="12" customFormat="1" x14ac:dyDescent="0.25"/>
    <row r="41" s="12" customFormat="1" x14ac:dyDescent="0.25"/>
    <row r="42" s="12" customFormat="1" x14ac:dyDescent="0.25"/>
    <row r="43" s="12" customFormat="1" x14ac:dyDescent="0.25"/>
    <row r="44" s="12" customFormat="1" x14ac:dyDescent="0.25"/>
    <row r="45" s="12" customFormat="1" x14ac:dyDescent="0.25"/>
    <row r="46" s="12" customFormat="1" x14ac:dyDescent="0.25"/>
    <row r="47" s="12" customFormat="1" x14ac:dyDescent="0.25"/>
    <row r="48" s="12" customFormat="1" x14ac:dyDescent="0.25"/>
    <row r="49" spans="1:1" s="12" customFormat="1" x14ac:dyDescent="0.25"/>
    <row r="50" spans="1:1" s="12" customFormat="1" x14ac:dyDescent="0.25"/>
    <row r="51" spans="1:1" s="12" customFormat="1" x14ac:dyDescent="0.25"/>
    <row r="52" spans="1:1" s="12" customFormat="1" x14ac:dyDescent="0.25"/>
    <row r="53" spans="1:1" s="12" customFormat="1" x14ac:dyDescent="0.25">
      <c r="A53" s="9" t="s">
        <v>37</v>
      </c>
    </row>
    <row r="54" spans="1:1" s="12" customFormat="1" x14ac:dyDescent="0.25"/>
    <row r="55" spans="1:1" s="12" customFormat="1" x14ac:dyDescent="0.25"/>
    <row r="56" spans="1:1" s="12" customFormat="1" x14ac:dyDescent="0.25"/>
    <row r="57" spans="1:1" s="12" customFormat="1" x14ac:dyDescent="0.25"/>
    <row r="58" spans="1:1" s="12" customFormat="1" x14ac:dyDescent="0.25"/>
    <row r="59" spans="1:1" s="12" customFormat="1" x14ac:dyDescent="0.25"/>
    <row r="60" spans="1:1" s="12" customFormat="1" x14ac:dyDescent="0.25"/>
    <row r="61" spans="1:1" s="12" customFormat="1" x14ac:dyDescent="0.25"/>
    <row r="62" spans="1:1" s="12" customFormat="1" x14ac:dyDescent="0.25"/>
    <row r="63" spans="1:1" s="12" customFormat="1" x14ac:dyDescent="0.25"/>
    <row r="64" spans="1:1" s="12" customFormat="1" x14ac:dyDescent="0.25"/>
    <row r="65" s="12" customFormat="1" x14ac:dyDescent="0.25"/>
    <row r="66" s="12" customFormat="1" x14ac:dyDescent="0.25"/>
    <row r="67" s="12" customFormat="1" x14ac:dyDescent="0.25"/>
    <row r="68" s="12" customFormat="1" x14ac:dyDescent="0.25"/>
    <row r="69" s="12" customFormat="1" x14ac:dyDescent="0.25"/>
    <row r="70" s="12" customFormat="1" x14ac:dyDescent="0.25"/>
    <row r="71" s="12" customFormat="1" x14ac:dyDescent="0.25"/>
    <row r="72" s="12" customFormat="1" x14ac:dyDescent="0.25"/>
    <row r="73" s="12" customFormat="1" x14ac:dyDescent="0.25"/>
    <row r="74" s="12" customFormat="1" x14ac:dyDescent="0.25"/>
    <row r="75" s="12" customFormat="1" x14ac:dyDescent="0.25"/>
    <row r="76" s="12" customFormat="1" x14ac:dyDescent="0.25"/>
    <row r="77" s="12" customFormat="1" x14ac:dyDescent="0.25"/>
    <row r="78" s="12" customFormat="1" x14ac:dyDescent="0.25"/>
    <row r="79" s="12" customFormat="1" x14ac:dyDescent="0.25"/>
    <row r="80" s="12" customFormat="1" x14ac:dyDescent="0.25"/>
    <row r="81" s="12" customFormat="1" x14ac:dyDescent="0.25"/>
    <row r="82" s="12" customFormat="1" x14ac:dyDescent="0.25"/>
    <row r="83" s="12" customFormat="1" x14ac:dyDescent="0.25"/>
    <row r="84" s="12" customFormat="1" x14ac:dyDescent="0.25"/>
    <row r="85" s="12" customFormat="1" x14ac:dyDescent="0.25"/>
    <row r="86" s="12" customFormat="1" x14ac:dyDescent="0.25"/>
    <row r="87" s="12" customFormat="1" x14ac:dyDescent="0.25"/>
    <row r="88" s="12" customFormat="1" x14ac:dyDescent="0.25"/>
    <row r="89" s="12" customFormat="1" x14ac:dyDescent="0.25"/>
    <row r="90" s="12" customFormat="1" x14ac:dyDescent="0.25"/>
    <row r="91" s="12" customFormat="1" x14ac:dyDescent="0.25"/>
    <row r="92" s="12" customFormat="1" x14ac:dyDescent="0.25"/>
    <row r="93" s="12" customFormat="1" x14ac:dyDescent="0.25"/>
    <row r="94" s="12" customFormat="1" x14ac:dyDescent="0.25"/>
    <row r="95" s="12" customFormat="1" x14ac:dyDescent="0.25"/>
    <row r="96" s="12" customFormat="1" x14ac:dyDescent="0.25"/>
    <row r="97" s="12" customFormat="1" x14ac:dyDescent="0.25"/>
    <row r="98" s="12" customFormat="1" x14ac:dyDescent="0.25"/>
    <row r="99" s="12" customFormat="1" x14ac:dyDescent="0.25"/>
    <row r="100" s="12" customFormat="1" x14ac:dyDescent="0.25"/>
    <row r="101" s="12" customFormat="1" x14ac:dyDescent="0.25"/>
    <row r="102" s="12" customFormat="1" x14ac:dyDescent="0.25"/>
    <row r="103" s="12" customFormat="1" x14ac:dyDescent="0.25"/>
    <row r="104" s="12" customFormat="1" x14ac:dyDescent="0.25"/>
    <row r="105" s="12" customFormat="1" x14ac:dyDescent="0.25"/>
    <row r="106" s="12" customFormat="1" x14ac:dyDescent="0.25"/>
    <row r="107" s="12" customFormat="1" x14ac:dyDescent="0.25"/>
    <row r="108" s="12" customFormat="1" x14ac:dyDescent="0.25"/>
    <row r="109" s="12" customFormat="1" x14ac:dyDescent="0.25"/>
    <row r="110" s="12" customFormat="1" x14ac:dyDescent="0.25"/>
    <row r="111" s="12" customFormat="1" x14ac:dyDescent="0.25"/>
    <row r="112" s="12" customFormat="1" x14ac:dyDescent="0.25"/>
    <row r="113" s="12" customFormat="1" x14ac:dyDescent="0.25"/>
    <row r="114" s="12" customFormat="1" x14ac:dyDescent="0.25"/>
    <row r="115" s="12" customFormat="1" x14ac:dyDescent="0.25"/>
    <row r="116" s="12" customFormat="1" x14ac:dyDescent="0.25"/>
    <row r="117" s="12" customFormat="1" x14ac:dyDescent="0.25"/>
    <row r="118" s="12" customFormat="1" x14ac:dyDescent="0.25"/>
    <row r="119" s="12" customFormat="1" x14ac:dyDescent="0.25"/>
    <row r="120" s="12" customFormat="1" x14ac:dyDescent="0.25"/>
    <row r="121" s="12" customFormat="1" x14ac:dyDescent="0.25"/>
    <row r="122" s="12" customFormat="1" x14ac:dyDescent="0.25"/>
    <row r="123" s="12" customFormat="1" x14ac:dyDescent="0.25"/>
    <row r="124" s="12" customFormat="1" x14ac:dyDescent="0.25"/>
    <row r="125" s="12" customFormat="1" x14ac:dyDescent="0.25"/>
    <row r="126" s="12" customFormat="1" x14ac:dyDescent="0.25"/>
    <row r="127" s="12" customFormat="1" x14ac:dyDescent="0.25"/>
    <row r="128" s="12" customFormat="1" x14ac:dyDescent="0.25"/>
    <row r="129" s="12" customFormat="1" x14ac:dyDescent="0.25"/>
    <row r="130" s="12" customFormat="1" x14ac:dyDescent="0.25"/>
    <row r="131" s="12" customFormat="1" x14ac:dyDescent="0.25"/>
    <row r="132" s="12" customFormat="1" x14ac:dyDescent="0.25"/>
    <row r="133" s="12" customFormat="1" x14ac:dyDescent="0.25"/>
    <row r="134" s="12" customFormat="1" x14ac:dyDescent="0.25"/>
    <row r="135" s="12" customFormat="1" x14ac:dyDescent="0.25"/>
    <row r="136" s="12" customFormat="1" x14ac:dyDescent="0.25"/>
    <row r="137" s="12" customFormat="1" x14ac:dyDescent="0.25"/>
    <row r="138" s="12" customFormat="1" x14ac:dyDescent="0.25"/>
    <row r="139" s="12" customFormat="1" x14ac:dyDescent="0.25"/>
    <row r="140" s="12" customForma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zoomScale="120" zoomScaleNormal="120" workbookViewId="0">
      <selection activeCell="C4" sqref="C4"/>
    </sheetView>
  </sheetViews>
  <sheetFormatPr defaultRowHeight="15" x14ac:dyDescent="0.25"/>
  <cols>
    <col min="7" max="7" width="11.28515625" bestFit="1" customWidth="1"/>
    <col min="8" max="8" width="10.42578125" bestFit="1" customWidth="1"/>
    <col min="12" max="12" width="11.7109375" bestFit="1" customWidth="1"/>
    <col min="14" max="14" width="10" bestFit="1" customWidth="1"/>
  </cols>
  <sheetData>
    <row r="1" spans="1:12" ht="18.75" x14ac:dyDescent="0.25">
      <c r="A1" s="39" t="s">
        <v>40</v>
      </c>
      <c r="B1" s="39"/>
      <c r="C1" s="39"/>
      <c r="D1" s="39"/>
      <c r="E1" s="39"/>
      <c r="F1" s="39"/>
    </row>
    <row r="2" spans="1:12" ht="52.5" x14ac:dyDescent="0.25">
      <c r="A2" s="1" t="s">
        <v>0</v>
      </c>
      <c r="B2" s="1" t="s">
        <v>5</v>
      </c>
      <c r="C2" s="1" t="s">
        <v>6</v>
      </c>
      <c r="D2" s="1" t="s">
        <v>7</v>
      </c>
      <c r="E2" s="1" t="s">
        <v>8</v>
      </c>
      <c r="F2" s="1" t="s">
        <v>9</v>
      </c>
      <c r="G2" s="1" t="s">
        <v>10</v>
      </c>
      <c r="H2" s="1" t="s">
        <v>11</v>
      </c>
      <c r="I2" s="1" t="s">
        <v>13</v>
      </c>
      <c r="J2" s="1" t="s">
        <v>12</v>
      </c>
    </row>
    <row r="3" spans="1:12" x14ac:dyDescent="0.25">
      <c r="A3" s="3" t="s">
        <v>1</v>
      </c>
      <c r="B3" s="4"/>
      <c r="C3" s="7">
        <f>SUM(C4:C12)</f>
        <v>2598577.5</v>
      </c>
      <c r="D3" s="7">
        <f>SUM(D4:D12)</f>
        <v>151462.5</v>
      </c>
      <c r="E3" s="11">
        <f>D3/C3</f>
        <v>5.8286697241086712E-2</v>
      </c>
      <c r="F3" s="7">
        <f>SUM(F4:F12)</f>
        <v>9.7900000000000009</v>
      </c>
      <c r="G3" s="7">
        <f>SUM(G4:G12)</f>
        <v>1402400000</v>
      </c>
      <c r="H3" s="7">
        <f>SUM(H4:H12)</f>
        <v>315520</v>
      </c>
      <c r="I3" s="5">
        <f>H3/G3</f>
        <v>2.2498573873359955E-4</v>
      </c>
      <c r="J3" s="41">
        <f>J4*1.15</f>
        <v>0.78200000000000003</v>
      </c>
    </row>
    <row r="4" spans="1:12" ht="22.5" x14ac:dyDescent="0.25">
      <c r="A4" s="35" t="s">
        <v>2</v>
      </c>
      <c r="B4" s="4" t="s">
        <v>4</v>
      </c>
      <c r="C4" s="7">
        <f>'United States-Search-FB'!$D$5</f>
        <v>1071427.5</v>
      </c>
      <c r="D4" s="7">
        <f>'United States-Search-FB'!$E$5</f>
        <v>20272.5</v>
      </c>
      <c r="E4" s="11">
        <f t="shared" ref="E4:E12" si="0">D4/C4</f>
        <v>1.8921018921018922E-2</v>
      </c>
      <c r="F4" s="6">
        <v>1.49</v>
      </c>
      <c r="G4" s="7">
        <f>'United States-Search-FB'!V5</f>
        <v>340000000</v>
      </c>
      <c r="H4" s="7">
        <f>G4*I4</f>
        <v>95199.999999999985</v>
      </c>
      <c r="I4" s="5">
        <v>2.7999999999999998E-4</v>
      </c>
      <c r="J4" s="8">
        <v>0.68</v>
      </c>
      <c r="K4" s="40"/>
    </row>
    <row r="5" spans="1:12" ht="22.5" x14ac:dyDescent="0.25">
      <c r="A5" s="2" t="s">
        <v>69</v>
      </c>
      <c r="B5" s="4" t="s">
        <v>4</v>
      </c>
      <c r="C5" s="7">
        <f>'UK-Search-FB'!D4</f>
        <v>557130</v>
      </c>
      <c r="D5" s="7">
        <f>'UK-Search-FB'!E4</f>
        <v>17100</v>
      </c>
      <c r="E5" s="11">
        <f t="shared" si="0"/>
        <v>3.0693015992676754E-2</v>
      </c>
      <c r="F5" s="6">
        <v>1.49</v>
      </c>
      <c r="G5" s="7">
        <f>'UK-Search-FB'!R4</f>
        <v>256000000</v>
      </c>
      <c r="H5" s="7">
        <f>G5*I5</f>
        <v>51200</v>
      </c>
      <c r="I5" s="5">
        <v>2.0000000000000001E-4</v>
      </c>
      <c r="J5" s="8">
        <v>0.59</v>
      </c>
      <c r="K5" s="40"/>
    </row>
    <row r="6" spans="1:12" x14ac:dyDescent="0.25">
      <c r="A6" s="2" t="s">
        <v>3</v>
      </c>
      <c r="B6" s="4" t="s">
        <v>4</v>
      </c>
      <c r="C6" s="7">
        <f>'Germany-Search-FB'!D4</f>
        <v>305190</v>
      </c>
      <c r="D6" s="7">
        <f>'Germany-Search-FB'!E4</f>
        <v>14550</v>
      </c>
      <c r="E6" s="11">
        <f t="shared" si="0"/>
        <v>4.7675218716209576E-2</v>
      </c>
      <c r="F6" s="6">
        <v>1.49</v>
      </c>
      <c r="G6" s="7">
        <f>'Germany-Search-FB'!R4</f>
        <v>192000000</v>
      </c>
      <c r="H6" s="7">
        <f>G6*I6</f>
        <v>38400</v>
      </c>
      <c r="I6" s="5">
        <v>2.0000000000000001E-4</v>
      </c>
      <c r="J6" s="8">
        <v>0.83</v>
      </c>
      <c r="K6" s="40"/>
    </row>
    <row r="7" spans="1:12" x14ac:dyDescent="0.25">
      <c r="A7" s="2" t="s">
        <v>41</v>
      </c>
      <c r="B7" s="4" t="s">
        <v>4</v>
      </c>
      <c r="C7" s="7">
        <f>'France-Search-FB'!D4</f>
        <v>78210</v>
      </c>
      <c r="D7" s="7">
        <f>'France-Search-FB'!D4</f>
        <v>78210</v>
      </c>
      <c r="E7" s="11">
        <f t="shared" si="0"/>
        <v>1</v>
      </c>
      <c r="F7" s="6"/>
      <c r="G7" s="7">
        <f>'France-Search-FB'!R4</f>
        <v>208000000</v>
      </c>
      <c r="H7" s="7">
        <f>G7*I7</f>
        <v>41600</v>
      </c>
      <c r="I7" s="5">
        <v>2.0000000000000001E-4</v>
      </c>
      <c r="J7" s="8">
        <v>0.4</v>
      </c>
      <c r="K7" s="40"/>
    </row>
    <row r="8" spans="1:12" x14ac:dyDescent="0.25">
      <c r="A8" s="2" t="s">
        <v>42</v>
      </c>
      <c r="B8" s="4" t="s">
        <v>4</v>
      </c>
      <c r="C8" s="7">
        <f>'Belgium-Search-FB'!D4</f>
        <v>37890</v>
      </c>
      <c r="D8" s="7">
        <f>'Belgium-Search-FB'!E4</f>
        <v>960</v>
      </c>
      <c r="E8" s="11">
        <f t="shared" si="0"/>
        <v>2.5336500395882817E-2</v>
      </c>
      <c r="F8" s="6">
        <v>0.4</v>
      </c>
      <c r="G8" s="7">
        <f>'Belgium-Search-FB'!R4</f>
        <v>38400000</v>
      </c>
      <c r="H8" s="7">
        <f t="shared" ref="H8:H12" si="1">G8*I8</f>
        <v>7680</v>
      </c>
      <c r="I8" s="5">
        <v>2.0000000000000001E-4</v>
      </c>
      <c r="J8" s="8">
        <v>0.39</v>
      </c>
      <c r="K8" s="40"/>
    </row>
    <row r="9" spans="1:12" x14ac:dyDescent="0.25">
      <c r="A9" s="2" t="s">
        <v>43</v>
      </c>
      <c r="B9" s="4" t="s">
        <v>4</v>
      </c>
      <c r="C9" s="7">
        <f>'Italy-Search-FB'!D4</f>
        <v>256590</v>
      </c>
      <c r="D9" s="7">
        <f>'Italy-Search-FB'!E4</f>
        <v>11130</v>
      </c>
      <c r="E9" s="11">
        <f t="shared" si="0"/>
        <v>4.3376593008301184E-2</v>
      </c>
      <c r="F9" s="6">
        <v>0.51</v>
      </c>
      <c r="G9" s="7">
        <f>'Italy-Search-FB'!R4</f>
        <v>192000000</v>
      </c>
      <c r="H9" s="7">
        <f t="shared" si="1"/>
        <v>38400</v>
      </c>
      <c r="I9" s="5">
        <v>2.0000000000000001E-4</v>
      </c>
      <c r="J9" s="8">
        <v>0.25</v>
      </c>
      <c r="K9" s="40"/>
    </row>
    <row r="10" spans="1:12" ht="22.5" x14ac:dyDescent="0.25">
      <c r="A10" s="2" t="s">
        <v>44</v>
      </c>
      <c r="B10" s="4" t="s">
        <v>4</v>
      </c>
      <c r="C10" s="7">
        <f>'Netherlands-Search-FB'!D4</f>
        <v>117810</v>
      </c>
      <c r="D10" s="7">
        <f>'Netherlands-Search-FB'!E4</f>
        <v>3540</v>
      </c>
      <c r="E10" s="11">
        <f t="shared" si="0"/>
        <v>3.0048382989559461E-2</v>
      </c>
      <c r="F10" s="6">
        <v>1.21</v>
      </c>
      <c r="G10" s="7">
        <f>'Netherlands-Search-FB'!R4</f>
        <v>64000000</v>
      </c>
      <c r="H10" s="7">
        <f t="shared" si="1"/>
        <v>12800</v>
      </c>
      <c r="I10" s="5">
        <v>2.0000000000000001E-4</v>
      </c>
      <c r="J10" s="8">
        <v>0.49</v>
      </c>
      <c r="K10" s="40"/>
    </row>
    <row r="11" spans="1:12" ht="22.5" x14ac:dyDescent="0.25">
      <c r="A11" s="2" t="s">
        <v>45</v>
      </c>
      <c r="B11" s="4" t="s">
        <v>4</v>
      </c>
      <c r="C11" s="7">
        <f>'NewZealand-Search-FB'!D4</f>
        <v>33900</v>
      </c>
      <c r="D11" s="7">
        <f>'NewZealand-Search-FB'!E4</f>
        <v>720</v>
      </c>
      <c r="E11" s="11">
        <f t="shared" si="0"/>
        <v>2.1238938053097345E-2</v>
      </c>
      <c r="F11" s="6">
        <v>1.56</v>
      </c>
      <c r="G11" s="7">
        <f>'NewZealand-Search-FB'!P4</f>
        <v>17600000</v>
      </c>
      <c r="H11" s="7">
        <f t="shared" si="1"/>
        <v>4752</v>
      </c>
      <c r="I11" s="5">
        <v>2.7E-4</v>
      </c>
      <c r="J11" s="8">
        <v>0.72</v>
      </c>
      <c r="K11" s="40"/>
    </row>
    <row r="12" spans="1:12" x14ac:dyDescent="0.25">
      <c r="A12" s="2" t="s">
        <v>46</v>
      </c>
      <c r="B12" s="4" t="s">
        <v>4</v>
      </c>
      <c r="C12" s="7">
        <f>'Australia-Search-FB'!D4</f>
        <v>140430</v>
      </c>
      <c r="D12" s="7">
        <f>'Australia-Search-FB'!E4</f>
        <v>4980</v>
      </c>
      <c r="E12" s="11">
        <f t="shared" si="0"/>
        <v>3.5462508011108736E-2</v>
      </c>
      <c r="F12" s="6">
        <v>1.64</v>
      </c>
      <c r="G12" s="7">
        <f>'Australia-Search-FB'!R4</f>
        <v>94400000</v>
      </c>
      <c r="H12" s="7">
        <f t="shared" si="1"/>
        <v>25488</v>
      </c>
      <c r="I12" s="5">
        <v>2.7E-4</v>
      </c>
      <c r="J12" s="8">
        <v>0.89</v>
      </c>
      <c r="K12" s="40"/>
    </row>
    <row r="14" spans="1:12" x14ac:dyDescent="0.25">
      <c r="H14" s="34"/>
      <c r="L14" s="34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workbookViewId="0">
      <selection activeCell="N11" sqref="N11"/>
    </sheetView>
  </sheetViews>
  <sheetFormatPr defaultRowHeight="15" x14ac:dyDescent="0.25"/>
  <cols>
    <col min="15" max="18" width="9.140625" style="12"/>
  </cols>
  <sheetData>
    <row r="1" spans="1:14" x14ac:dyDescent="0.25">
      <c r="A1" s="9" t="s">
        <v>34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x14ac:dyDescent="0.25">
      <c r="A2" s="9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</row>
    <row r="5" spans="1:14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</row>
    <row r="9" spans="1:1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</row>
    <row r="10" spans="1:1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</row>
    <row r="15" spans="1:1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</row>
    <row r="20" spans="1:1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</row>
    <row r="21" spans="1:1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</row>
    <row r="22" spans="1:1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</row>
    <row r="23" spans="1:1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</row>
    <row r="24" spans="1:1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x14ac:dyDescent="0.25">
      <c r="A28" s="9" t="s">
        <v>51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</row>
    <row r="29" spans="1:1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</row>
    <row r="30" spans="1:1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</row>
    <row r="31" spans="1:1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</row>
    <row r="32" spans="1:1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</row>
    <row r="33" spans="1:1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</row>
    <row r="34" spans="1:1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</row>
    <row r="35" spans="1:1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"/>
  <sheetViews>
    <sheetView workbookViewId="0">
      <selection activeCell="G4" sqref="G4"/>
    </sheetView>
  </sheetViews>
  <sheetFormatPr defaultRowHeight="15" x14ac:dyDescent="0.25"/>
  <cols>
    <col min="4" max="4" width="14.28515625" customWidth="1"/>
    <col min="22" max="22" width="12.7109375" bestFit="1" customWidth="1"/>
  </cols>
  <sheetData>
    <row r="1" spans="1:28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9" t="s">
        <v>52</v>
      </c>
      <c r="T1" s="12"/>
      <c r="U1" s="12"/>
      <c r="V1" s="12"/>
      <c r="W1" s="12"/>
      <c r="X1" s="12"/>
      <c r="Y1" s="12"/>
      <c r="Z1" s="12"/>
      <c r="AA1" s="12"/>
      <c r="AB1" s="12"/>
    </row>
    <row r="2" spans="1:28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9"/>
      <c r="T2" s="12"/>
      <c r="U2" s="12"/>
      <c r="V2" s="12"/>
      <c r="W2" s="12"/>
      <c r="X2" s="12"/>
      <c r="Y2" s="12"/>
      <c r="Z2" s="12"/>
      <c r="AA2" s="12"/>
      <c r="AB2" s="12"/>
    </row>
    <row r="3" spans="1:28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20" t="s">
        <v>9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9" t="s">
        <v>49</v>
      </c>
      <c r="T3" s="9"/>
      <c r="U3" s="9"/>
      <c r="V3" s="9"/>
      <c r="W3" s="9"/>
      <c r="X3" s="9" t="s">
        <v>50</v>
      </c>
      <c r="Y3" s="12"/>
      <c r="Z3" s="12"/>
      <c r="AA3" s="12"/>
      <c r="AB3" s="12"/>
    </row>
    <row r="4" spans="1:28" x14ac:dyDescent="0.25">
      <c r="A4" s="9" t="s">
        <v>48</v>
      </c>
      <c r="B4" s="12"/>
      <c r="C4" s="12"/>
      <c r="D4" s="36">
        <f>142857*30</f>
        <v>4285710</v>
      </c>
      <c r="E4" s="36">
        <f>2703*30</f>
        <v>81090</v>
      </c>
      <c r="F4" s="37">
        <f>E4/D4</f>
        <v>1.8921018921018922E-2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9" t="s">
        <v>16</v>
      </c>
      <c r="T4" s="12"/>
      <c r="U4" s="12"/>
      <c r="V4" s="38">
        <f>170000000*8</f>
        <v>1360000000</v>
      </c>
      <c r="W4" s="12"/>
      <c r="X4" s="9" t="s">
        <v>16</v>
      </c>
      <c r="Y4" s="12"/>
      <c r="Z4" s="12"/>
      <c r="AA4" s="38">
        <f>620000*8</f>
        <v>4960000</v>
      </c>
      <c r="AB4" s="12"/>
    </row>
    <row r="5" spans="1:28" x14ac:dyDescent="0.25">
      <c r="A5" s="9" t="s">
        <v>47</v>
      </c>
      <c r="B5" s="12"/>
      <c r="C5" s="12"/>
      <c r="D5" s="36">
        <f>0.25*D4</f>
        <v>1071427.5</v>
      </c>
      <c r="E5" s="36">
        <f>0.25*E4</f>
        <v>20272.5</v>
      </c>
      <c r="F5" s="37">
        <f>E5/D5</f>
        <v>1.8921018921018922E-2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9" t="s">
        <v>47</v>
      </c>
      <c r="T5" s="12"/>
      <c r="U5" s="12"/>
      <c r="V5" s="38">
        <f>V4*0.25</f>
        <v>340000000</v>
      </c>
      <c r="W5" s="12"/>
      <c r="X5" s="9" t="s">
        <v>47</v>
      </c>
      <c r="Y5" s="12"/>
      <c r="Z5" s="12"/>
      <c r="AA5" s="38">
        <f>AA4*0.25</f>
        <v>1240000</v>
      </c>
      <c r="AB5" s="12"/>
    </row>
    <row r="6" spans="1:28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</row>
    <row r="7" spans="1:28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</row>
    <row r="8" spans="1:28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</row>
    <row r="9" spans="1:28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</row>
    <row r="10" spans="1:28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</row>
    <row r="11" spans="1:2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</row>
    <row r="12" spans="1:28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1:28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1:28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</row>
    <row r="23" spans="1:28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1:28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1:28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</row>
    <row r="27" spans="1:28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8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</row>
    <row r="30" spans="1:28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</row>
    <row r="31" spans="1:28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</row>
    <row r="33" spans="1:28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</row>
    <row r="46" spans="1:28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</row>
    <row r="58" spans="1:28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  <row r="70" spans="1:28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</row>
    <row r="71" spans="1:28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</row>
    <row r="72" spans="1:28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</row>
    <row r="73" spans="1:28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</row>
    <row r="74" spans="1:28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28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</row>
    <row r="76" spans="1:28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28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</row>
    <row r="78" spans="1:28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</row>
    <row r="79" spans="1:28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</row>
    <row r="80" spans="1:28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</row>
    <row r="81" spans="1:28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</row>
    <row r="82" spans="1:28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</row>
    <row r="83" spans="1:28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</row>
    <row r="84" spans="1:28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</row>
    <row r="85" spans="1:28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</row>
    <row r="86" spans="1:28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</row>
    <row r="87" spans="1:28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</row>
    <row r="88" spans="1:28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</row>
    <row r="89" spans="1:28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</row>
    <row r="90" spans="1:28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</row>
    <row r="91" spans="1:28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</row>
    <row r="92" spans="1:28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</row>
    <row r="93" spans="1:28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6"/>
  <sheetViews>
    <sheetView workbookViewId="0">
      <selection activeCell="D4" sqref="D4"/>
    </sheetView>
  </sheetViews>
  <sheetFormatPr defaultRowHeight="15" x14ac:dyDescent="0.25"/>
  <cols>
    <col min="18" max="18" width="12.7109375" bestFit="1" customWidth="1"/>
  </cols>
  <sheetData>
    <row r="1" spans="1:27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</row>
    <row r="2" spans="1:27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</row>
    <row r="3" spans="1:27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</row>
    <row r="4" spans="1:27" x14ac:dyDescent="0.25">
      <c r="A4" s="9" t="s">
        <v>53</v>
      </c>
      <c r="B4" s="12"/>
      <c r="C4" s="12"/>
      <c r="D4" s="36">
        <f>18571*30</f>
        <v>557130</v>
      </c>
      <c r="E4" s="36">
        <f>570*30</f>
        <v>17100</v>
      </c>
      <c r="F4" s="37">
        <f>E4/D4</f>
        <v>3.0693015992676754E-2</v>
      </c>
      <c r="G4" s="12"/>
      <c r="H4" s="12"/>
      <c r="I4" s="12"/>
      <c r="J4" s="12"/>
      <c r="K4" s="12"/>
      <c r="L4" s="12"/>
      <c r="M4" s="12"/>
      <c r="N4" s="12"/>
      <c r="O4" s="9" t="s">
        <v>54</v>
      </c>
      <c r="P4" s="12"/>
      <c r="Q4" s="12"/>
      <c r="R4" s="38">
        <f>32000000*8</f>
        <v>256000000</v>
      </c>
      <c r="S4" s="12"/>
      <c r="T4" s="9" t="s">
        <v>54</v>
      </c>
      <c r="U4" s="12"/>
      <c r="V4" s="12"/>
      <c r="W4" s="38">
        <f>50000*8</f>
        <v>400000</v>
      </c>
    </row>
    <row r="5" spans="1:27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</row>
    <row r="6" spans="1:27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</row>
    <row r="7" spans="1:27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AA7">
        <v>64000</v>
      </c>
    </row>
    <row r="8" spans="1:27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7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7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7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7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7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7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7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selection activeCell="D5" sqref="D5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55</v>
      </c>
      <c r="B4" s="12"/>
      <c r="C4" s="12"/>
      <c r="D4" s="36">
        <f>(15122-4727-222)*30</f>
        <v>305190</v>
      </c>
      <c r="E4" s="36">
        <f>485*30</f>
        <v>14550</v>
      </c>
      <c r="F4" s="37">
        <f>E4/D4</f>
        <v>4.7675218716209576E-2</v>
      </c>
      <c r="G4" s="12"/>
      <c r="H4" s="12"/>
      <c r="I4" s="12"/>
      <c r="J4" s="12"/>
      <c r="K4" s="12"/>
      <c r="L4" s="12"/>
      <c r="M4" s="12"/>
      <c r="N4" s="12"/>
      <c r="O4" s="9" t="s">
        <v>57</v>
      </c>
      <c r="P4" s="12"/>
      <c r="Q4" s="12"/>
      <c r="R4" s="38">
        <f>24000000*8</f>
        <v>192000000</v>
      </c>
      <c r="S4" s="12"/>
      <c r="T4" s="9" t="s">
        <v>57</v>
      </c>
      <c r="U4" s="12"/>
      <c r="V4" s="12"/>
      <c r="W4" s="38">
        <f>20000*8</f>
        <v>160000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selection activeCell="F4" sqref="F4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56</v>
      </c>
      <c r="B4" s="12"/>
      <c r="C4" s="12"/>
      <c r="D4" s="36">
        <f>(3991-1384)*30</f>
        <v>78210</v>
      </c>
      <c r="E4" s="36">
        <f>(137-109)*30</f>
        <v>840</v>
      </c>
      <c r="F4" s="37">
        <f>E4/D4</f>
        <v>1.0740314537782892E-2</v>
      </c>
      <c r="G4" s="12"/>
      <c r="H4" s="12"/>
      <c r="I4" s="12"/>
      <c r="J4" s="12"/>
      <c r="K4" s="12"/>
      <c r="L4" s="12"/>
      <c r="M4" s="12"/>
      <c r="N4" s="12"/>
      <c r="O4" s="9" t="s">
        <v>58</v>
      </c>
      <c r="P4" s="12"/>
      <c r="Q4" s="12"/>
      <c r="R4" s="38">
        <f>26000000*8</f>
        <v>208000000</v>
      </c>
      <c r="S4" s="12"/>
      <c r="T4" s="9" t="s">
        <v>58</v>
      </c>
      <c r="U4" s="12"/>
      <c r="V4" s="12"/>
      <c r="W4" s="38">
        <f>7600*9</f>
        <v>68400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selection activeCell="H4" sqref="H4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59</v>
      </c>
      <c r="B4" s="12"/>
      <c r="C4" s="12"/>
      <c r="D4" s="36">
        <f>(2286-1023)*30</f>
        <v>37890</v>
      </c>
      <c r="E4" s="36">
        <f>(56-24)*30</f>
        <v>960</v>
      </c>
      <c r="F4" s="37">
        <f>E4/D4</f>
        <v>2.5336500395882817E-2</v>
      </c>
      <c r="G4" s="12"/>
      <c r="H4" s="12"/>
      <c r="I4" s="12"/>
      <c r="J4" s="12"/>
      <c r="K4" s="12"/>
      <c r="L4" s="12"/>
      <c r="M4" s="12"/>
      <c r="N4" s="12"/>
      <c r="O4" s="9" t="s">
        <v>60</v>
      </c>
      <c r="P4" s="12"/>
      <c r="Q4" s="12"/>
      <c r="R4" s="38">
        <f>4800000*8</f>
        <v>38400000</v>
      </c>
      <c r="S4" s="12"/>
      <c r="T4" s="9" t="s">
        <v>60</v>
      </c>
      <c r="U4" s="12"/>
      <c r="V4" s="12"/>
      <c r="W4" s="38">
        <f>24000*8</f>
        <v>192000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zoomScale="71" zoomScaleNormal="71" workbookViewId="0">
      <selection activeCell="E5" sqref="E5"/>
    </sheetView>
  </sheetViews>
  <sheetFormatPr defaultRowHeight="15" x14ac:dyDescent="0.25"/>
  <cols>
    <col min="4" max="4" width="14.28515625" customWidth="1"/>
    <col min="18" max="18" width="12.7109375" bestFit="1" customWidth="1"/>
  </cols>
  <sheetData>
    <row r="1" spans="1:24" x14ac:dyDescent="0.25">
      <c r="A1" s="9" t="s">
        <v>15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9" t="s">
        <v>52</v>
      </c>
      <c r="P1" s="12"/>
      <c r="Q1" s="12"/>
      <c r="R1" s="12"/>
      <c r="S1" s="12"/>
      <c r="T1" s="12"/>
      <c r="U1" s="12"/>
      <c r="V1" s="12"/>
      <c r="W1" s="12"/>
      <c r="X1" s="12"/>
    </row>
    <row r="2" spans="1:24" x14ac:dyDescent="0.25">
      <c r="A2" s="9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9"/>
      <c r="P2" s="12"/>
      <c r="Q2" s="12"/>
      <c r="R2" s="12"/>
      <c r="S2" s="12"/>
      <c r="T2" s="12"/>
      <c r="U2" s="12"/>
      <c r="V2" s="12"/>
      <c r="W2" s="12"/>
      <c r="X2" s="12"/>
    </row>
    <row r="3" spans="1:24" x14ac:dyDescent="0.25">
      <c r="A3" s="9"/>
      <c r="B3" s="12"/>
      <c r="C3" s="12"/>
      <c r="D3" s="20" t="s">
        <v>25</v>
      </c>
      <c r="E3" s="20" t="s">
        <v>26</v>
      </c>
      <c r="F3" s="20" t="s">
        <v>8</v>
      </c>
      <c r="G3" s="12"/>
      <c r="H3" s="12"/>
      <c r="I3" s="12"/>
      <c r="J3" s="12"/>
      <c r="K3" s="12"/>
      <c r="L3" s="12"/>
      <c r="M3" s="12"/>
      <c r="N3" s="12"/>
      <c r="O3" s="9" t="s">
        <v>49</v>
      </c>
      <c r="P3" s="9"/>
      <c r="Q3" s="9"/>
      <c r="R3" s="9"/>
      <c r="S3" s="9"/>
      <c r="T3" s="9" t="s">
        <v>50</v>
      </c>
      <c r="U3" s="12"/>
      <c r="V3" s="12"/>
      <c r="W3" s="12"/>
      <c r="X3" s="12"/>
    </row>
    <row r="4" spans="1:24" x14ac:dyDescent="0.25">
      <c r="A4" s="9" t="s">
        <v>61</v>
      </c>
      <c r="B4" s="12"/>
      <c r="C4" s="12"/>
      <c r="D4" s="36">
        <f>(9286-733)*30</f>
        <v>256590</v>
      </c>
      <c r="E4" s="36">
        <f>(388-17)*30</f>
        <v>11130</v>
      </c>
      <c r="F4" s="37">
        <f>E4/D4</f>
        <v>4.3376593008301184E-2</v>
      </c>
      <c r="G4" s="12"/>
      <c r="H4" s="12"/>
      <c r="I4" s="12"/>
      <c r="J4" s="12"/>
      <c r="K4" s="12"/>
      <c r="L4" s="12"/>
      <c r="M4" s="12"/>
      <c r="N4" s="12"/>
      <c r="O4" s="9" t="s">
        <v>62</v>
      </c>
      <c r="P4" s="12"/>
      <c r="Q4" s="12"/>
      <c r="R4" s="38">
        <f>24000000*8</f>
        <v>192000000</v>
      </c>
      <c r="S4" s="12"/>
      <c r="T4" s="9" t="s">
        <v>62</v>
      </c>
      <c r="U4" s="12"/>
      <c r="V4" s="12"/>
      <c r="W4" s="38">
        <f>66000*8</f>
        <v>528000</v>
      </c>
      <c r="X4" s="12"/>
    </row>
    <row r="5" spans="1:24" x14ac:dyDescent="0.25">
      <c r="A5" s="9"/>
      <c r="B5" s="12"/>
      <c r="C5" s="12"/>
      <c r="D5" s="36"/>
      <c r="E5" s="36"/>
      <c r="F5" s="37"/>
      <c r="G5" s="12"/>
      <c r="H5" s="12"/>
      <c r="I5" s="12"/>
      <c r="J5" s="12"/>
      <c r="K5" s="12"/>
      <c r="L5" s="12"/>
      <c r="M5" s="12"/>
      <c r="N5" s="12"/>
      <c r="O5" s="9"/>
      <c r="P5" s="12"/>
      <c r="Q5" s="12"/>
      <c r="R5" s="38"/>
      <c r="S5" s="12"/>
      <c r="T5" s="9"/>
      <c r="U5" s="12"/>
      <c r="V5" s="12"/>
      <c r="W5" s="38"/>
      <c r="X5" s="12"/>
    </row>
    <row r="6" spans="1:24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Cost Estimates</vt:lpstr>
      <vt:lpstr>Plaque Psoriasis</vt:lpstr>
      <vt:lpstr>GDN</vt:lpstr>
      <vt:lpstr>United States-Search-FB</vt:lpstr>
      <vt:lpstr>UK-Search-FB</vt:lpstr>
      <vt:lpstr>Germany-Search-FB</vt:lpstr>
      <vt:lpstr>France-Search-FB</vt:lpstr>
      <vt:lpstr>Belgium-Search-FB</vt:lpstr>
      <vt:lpstr>Italy-Search-FB</vt:lpstr>
      <vt:lpstr>Netherlands-Search-FB</vt:lpstr>
      <vt:lpstr>NewZealand-Search-FB</vt:lpstr>
      <vt:lpstr>Australia-Search-FB</vt:lpstr>
      <vt:lpstr>Research - Trends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Quincy</dc:creator>
  <cp:lastModifiedBy>Pat</cp:lastModifiedBy>
  <dcterms:created xsi:type="dcterms:W3CDTF">2013-06-20T20:43:15Z</dcterms:created>
  <dcterms:modified xsi:type="dcterms:W3CDTF">2014-01-27T14:55:51Z</dcterms:modified>
</cp:coreProperties>
</file>